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It Works" sheetId="1" state="visible" r:id="rId3"/>
    <sheet name="Win Number Worksheet" sheetId="2" state="visible" r:id="rId4"/>
    <sheet name="Example – LD 6 House 2020" sheetId="3" state="visible" r:id="rId5"/>
  </sheets>
  <definedNames>
    <definedName function="false" hidden="false" localSheetId="2" name="_xlnm.Print_Area" vbProcedure="false">'Example – LD 6 House 2020'!$A$1:$F$61</definedName>
    <definedName function="false" hidden="false" localSheetId="1" name="_xlnm.Print_Area" vbProcedure="false">'Win Number Worksheet'!$A$1:$F$61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<sst xmlns="http://schemas.openxmlformats.org/spreadsheetml/2006/main" count="166" uniqueCount="96">
  <si>
    <t xml:space="preserve">What is a win number?</t>
  </si>
  <si>
    <t xml:space="preserve">Your win number is the number of votes you need to win your race, with a small safety cushion. Every campaign decision — how many doors to knock, how many volunteers to recruit, how much to raise — flows from it. This worksheet walks you from voter registration to a concrete vote goal and a plan to reach it.</t>
  </si>
  <si>
    <t xml:space="preserve">How it works, in 8 steps</t>
  </si>
  <si>
    <t xml:space="preserve">1. Win Number — Registered voters × expected turnout, minus voters who skip your race (drop-off), gives expected voters. 52% of that is your win number.</t>
  </si>
  <si>
    <t xml:space="preserve">2. Past elections — Enter recent results for this seat to see how Democrats have performed.</t>
  </si>
  <si>
    <t xml:space="preserve">3. Democratic Performance (DPI) — Your best estimate of the share a typical Democrat gets here. Expected voters × DPI = your base votes.</t>
  </si>
  <si>
    <t xml:space="preserve">4. Vote deficit — Win number minus base votes: the gap your campaign has to close.</t>
  </si>
  <si>
    <t xml:space="preserve">5. Persuasion — Independents who vote, minus those who reliably vote Republican, are your persuadable voters.</t>
  </si>
  <si>
    <t xml:space="preserve">6. GOTV — Democrats who are registered but likely to skip your race are your get-out-the-vote targets.</t>
  </si>
  <si>
    <t xml:space="preserve">7. Strategy — Set realistic rates for persuasion and turnout (and single-shot voting in two-seat races). If the votes you add exceed the deficit, your plan wins.</t>
  </si>
  <si>
    <t xml:space="preserve">8. Voter universe — At roughly 3 contacts per vote moved, this is the minimum number of voters your field program must reach.</t>
  </si>
  <si>
    <t xml:space="preserve">What you need before you start</t>
  </si>
  <si>
    <t xml:space="preserve">• Current voter registration by party for your district (county recorder or Secretary of State).</t>
  </si>
  <si>
    <t xml:space="preserve">• Turnout by party from recent elections in your district (county election results or your party's voter file).</t>
  </si>
  <si>
    <t xml:space="preserve">• Two-way results from the last 2–4 elections for this seat.</t>
  </si>
  <si>
    <t xml:space="preserve">• A Democratic performance estimate (statewide race results in your district, redistricting commission or NCEC figures).</t>
  </si>
  <si>
    <t xml:space="preserve">• Party-support scores for unaffiliated voters, if you have voter-file access (e.g. VAN), to estimate how many lean Republican.</t>
  </si>
  <si>
    <t xml:space="preserve">How to use this workbook</t>
  </si>
  <si>
    <t xml:space="preserve">• 'Win Number Worksheet' is blank and ready for your district — fill in the YELLOW cells only.</t>
  </si>
  <si>
    <t xml:space="preserve">• 'Example – LD 6 House 2020' is fully filled in with real Arizona numbers so you can see what each input looks like.</t>
  </si>
  <si>
    <t xml:space="preserve">• Percentages are entered as percentages (type 85% or 0.85). Green cells are your key results.</t>
  </si>
  <si>
    <t xml:space="preserve">• Works in Excel, Google Sheets (File → Import) and Numbers.</t>
  </si>
  <si>
    <t xml:space="preserve">Vote Goal Worksheet — Your Race</t>
  </si>
  <si>
    <t xml:space="preserve">Fill in the YELLOW cells (blue text). Everything else calculates automatically.</t>
  </si>
  <si>
    <t xml:space="preserve">STEP 1 — WIN NUMBER: how many votes do you need?</t>
  </si>
  <si>
    <t xml:space="preserve">Total</t>
  </si>
  <si>
    <t xml:space="preserve">Republicans</t>
  </si>
  <si>
    <t xml:space="preserve">Democrats</t>
  </si>
  <si>
    <t xml:space="preserve">Other / Indep.</t>
  </si>
  <si>
    <t xml:space="preserve">Registered voters (today)</t>
  </si>
  <si>
    <t xml:space="preserve">Source: county recorder / Secretary of State registration report</t>
  </si>
  <si>
    <t xml:space="preserve">Percentage by party</t>
  </si>
  <si>
    <t xml:space="preserve">Historical turnout compared to Republicans (ratio)</t>
  </si>
  <si>
    <t xml:space="preserve">e.g. Dems turned out at 98% of the GOP rate. Use past elections in your district.</t>
  </si>
  <si>
    <t xml:space="preserve">Expected turnout for the election</t>
  </si>
  <si>
    <t xml:space="preserve">Enter Republican turnout; Dem/Other are scaled from it. Total is weighted.</t>
  </si>
  <si>
    <t xml:space="preserve">Expected ballot drop-off (voters who skip your race)</t>
  </si>
  <si>
    <t xml:space="preserve">Rule of thumb: ~6% for AZ Senate, ~10% for AZ House</t>
  </si>
  <si>
    <t xml:space="preserve">Expected turnout for your race</t>
  </si>
  <si>
    <t xml:space="preserve">Expected voters for your race</t>
  </si>
  <si>
    <t xml:space="preserve">Minimum votes to win (50% + 1)</t>
  </si>
  <si>
    <t xml:space="preserve">Safe margin of victory (% of vote)</t>
  </si>
  <si>
    <t xml:space="preserve">52% gives a cushion against turnout surprises</t>
  </si>
  <si>
    <t xml:space="preserve">WIN NUMBER</t>
  </si>
  <si>
    <t xml:space="preserve">STEP 2 — PAST ELECTIONS: how has this race gone before?</t>
  </si>
  <si>
    <t xml:space="preserve">Election (name / year)</t>
  </si>
  <si>
    <t xml:space="preserve">Opponent votes</t>
  </si>
  <si>
    <t xml:space="preserve">Dem votes</t>
  </si>
  <si>
    <t xml:space="preserve">Total votes</t>
  </si>
  <si>
    <t xml:space="preserve">% Democratic</t>
  </si>
  <si>
    <t xml:space="preserve">Use two-way results (top Dem vs. top opponent). Leave unused rows blank.</t>
  </si>
  <si>
    <t xml:space="preserve">Average % Democratic</t>
  </si>
  <si>
    <t xml:space="preserve">STEP 3 — DEMOCRATIC PERFORMANCE: what's your starting point?</t>
  </si>
  <si>
    <t xml:space="preserve">Estimated Democratic Performance Index (DPI) for your race</t>
  </si>
  <si>
    <t xml:space="preserve">Blend Step 2's average with other benchmarks (statewide races, NCEC/IRC estimates)</t>
  </si>
  <si>
    <t xml:space="preserve">Base Democratic votes (expected voters × DPI)</t>
  </si>
  <si>
    <t xml:space="preserve">STEP 4 — VOTE DEFICIT: how far short is the base?</t>
  </si>
  <si>
    <t xml:space="preserve">Votes needed beyond the base (Win Number − Base)</t>
  </si>
  <si>
    <t xml:space="preserve">A negative number means the base alone clears the win number</t>
  </si>
  <si>
    <t xml:space="preserve">Deficit index (deficit ÷ win number)</t>
  </si>
  <si>
    <t xml:space="preserve">STEP 5 — PERSUASION: how many independents are in play?</t>
  </si>
  <si>
    <t xml:space="preserve">Registered Other / Independent voters</t>
  </si>
  <si>
    <t xml:space="preserve">How many will vote</t>
  </si>
  <si>
    <t xml:space="preserve">Share of voting Others who only vote Republican</t>
  </si>
  <si>
    <t xml:space="preserve">From party-support scores (e.g. VAN: Others scoring 0–40)</t>
  </si>
  <si>
    <t xml:space="preserve">Estimated Republican-only Others</t>
  </si>
  <si>
    <t xml:space="preserve">Persuadable voters</t>
  </si>
  <si>
    <t xml:space="preserve">Persuasion index (persuadables ÷ all registered)</t>
  </si>
  <si>
    <t xml:space="preserve">STEP 6 — GOTV: how many Democrats might not show up?</t>
  </si>
  <si>
    <t xml:space="preserve">Registered Democrats</t>
  </si>
  <si>
    <t xml:space="preserve">How many will skip your race (drop-off from Step 1)</t>
  </si>
  <si>
    <t xml:space="preserve">Extra Dem drop-off vs. a presidential year (%)</t>
  </si>
  <si>
    <t xml:space="preserve">Use 0% in a presidential year; raise it for midterms</t>
  </si>
  <si>
    <t xml:space="preserve">Extra Dems who won't vote vs. presidential year</t>
  </si>
  <si>
    <t xml:space="preserve">Possible GOTV voters</t>
  </si>
  <si>
    <t xml:space="preserve">GOTV index (GOTV voters ÷ registered Dems)</t>
  </si>
  <si>
    <t xml:space="preserve">STEP 7 — STRATEGY: does your plan close the gap?</t>
  </si>
  <si>
    <t xml:space="preserve">Tactic</t>
  </si>
  <si>
    <t xml:space="preserve">Rate you'll win</t>
  </si>
  <si>
    <t xml:space="preserve">Votes gained</t>
  </si>
  <si>
    <t xml:space="preserve">% of effort</t>
  </si>
  <si>
    <t xml:space="preserve">Persuade this share of persuadable voters</t>
  </si>
  <si>
    <t xml:space="preserve">Turn out this share of GOTV voters</t>
  </si>
  <si>
    <t xml:space="preserve">Single-shot voting (multi-seat races only, e.g. AZ House)</t>
  </si>
  <si>
    <t xml:space="preserve">Two-seat races: urging supporters to vote only for you. Use 0% for single-seat races. ~2.5% of win number.</t>
  </si>
  <si>
    <t xml:space="preserve">Total votes added by your strategy</t>
  </si>
  <si>
    <t xml:space="preserve">DO YOU WIN? (votes added − deficit)</t>
  </si>
  <si>
    <t xml:space="preserve">STEP 8 — VOTER UNIVERSE: how many people must you contact?</t>
  </si>
  <si>
    <t xml:space="preserve">Contacts needed per vote gained</t>
  </si>
  <si>
    <t xml:space="preserve">Rule of thumb: about 3 contacts per vote moved</t>
  </si>
  <si>
    <t xml:space="preserve">Minimum size of voter universe (deficit × contacts)</t>
  </si>
  <si>
    <t xml:space="preserve">Vote Goal Worksheet — Example: LD 6 House, 2020</t>
  </si>
  <si>
    <t xml:space="preserve">Election 1a (2018)</t>
  </si>
  <si>
    <t xml:space="preserve">Election 1b (2018)</t>
  </si>
  <si>
    <t xml:space="preserve">Election 2 (2016)</t>
  </si>
  <si>
    <t xml:space="preserve">Election 3 (2014)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</si>
</sst>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(#,##0\);\-"/>
    <numFmt numFmtId="166" formatCode="0.0%;\(0.0%\);\-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A5F"/>
      <name val="Arial"/>
      <family val="0"/>
      <charset val="1"/>
    </font>
    <font>
      <sz val="11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59D"/>
        <bgColor rgb="FFFFFFCC"/>
      </patternFill>
    </fill>
    <fill>
      <patternFill patternType="solid">
        <fgColor rgb="FFC8E6C9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" t="s">
        <v>0</v>
      </c>
    </row>
    <row r="2" customFormat="false" ht="39.5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6.15" hidden="false" customHeight="false" outlineLevel="0" collapsed="false">
      <c r="A4" s="1" t="s">
        <v>2</v>
      </c>
    </row>
    <row r="5" customFormat="false" ht="26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6.8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26.85" hidden="false" customHeight="false" outlineLevel="0" collapsed="false">
      <c r="A11" s="2" t="s">
        <v>9</v>
      </c>
    </row>
    <row r="12" customFormat="false" ht="26.85" hidden="false" customHeight="false" outlineLevel="0" collapsed="false">
      <c r="A12" s="2" t="s">
        <v>10</v>
      </c>
    </row>
    <row r="13" customFormat="false" ht="15" hidden="false" customHeight="false" outlineLevel="0" collapsed="false">
      <c r="A13" s="2"/>
    </row>
    <row r="14" customFormat="false" ht="16.15" hidden="false" customHeight="false" outlineLevel="0" collapsed="false">
      <c r="A14" s="1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26.85" hidden="false" customHeight="false" outlineLevel="0" collapsed="false">
      <c r="A18" s="2" t="s">
        <v>15</v>
      </c>
    </row>
    <row r="19" customFormat="false" ht="26.85" hidden="false" customHeight="false" outlineLevel="0" collapsed="false">
      <c r="A19" s="2" t="s">
        <v>16</v>
      </c>
    </row>
    <row r="20" customFormat="false" ht="15" hidden="false" customHeight="false" outlineLevel="0" collapsed="false">
      <c r="A20" s="2"/>
    </row>
    <row r="21" customFormat="false" ht="16.15" hidden="false" customHeight="false" outlineLevel="0" collapsed="false">
      <c r="A21" s="1" t="s">
        <v>17</v>
      </c>
    </row>
    <row r="22" customFormat="false" ht="15" hidden="false" customHeight="false" outlineLevel="0" collapsed="false">
      <c r="A22" s="2" t="s">
        <v>18</v>
      </c>
    </row>
    <row r="23" customFormat="false" ht="15" hidden="false" customHeight="false" outlineLevel="0" collapsed="false">
      <c r="A23" s="2" t="s">
        <v>19</v>
      </c>
    </row>
    <row r="24" customFormat="false" ht="15" hidden="false" customHeight="false" outlineLevel="0" collapsed="false">
      <c r="A24" s="2" t="s">
        <v>20</v>
      </c>
    </row>
    <row r="25" customFormat="false" ht="15" hidden="false" customHeight="false" outlineLevel="0" collapsed="false">
      <c r="A25" s="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17"/>
    <col collapsed="false" customWidth="true" hidden="false" outlineLevel="0" max="6" min="6" style="0" width="60"/>
  </cols>
  <sheetData>
    <row r="1" customFormat="false" ht="17.35" hidden="false" customHeight="false" outlineLevel="0" collapsed="false">
      <c r="A1" s="3" t="s">
        <v>22</v>
      </c>
    </row>
    <row r="2" customFormat="false" ht="15" hidden="false" customHeight="false" outlineLevel="0" collapsed="false">
      <c r="A2" s="4" t="s">
        <v>23</v>
      </c>
    </row>
    <row r="4" customFormat="false" ht="15" hidden="false" customHeight="false" outlineLevel="0" collapsed="false">
      <c r="A4" s="5" t="s">
        <v>24</v>
      </c>
      <c r="B4" s="6"/>
      <c r="C4" s="6"/>
      <c r="D4" s="6"/>
      <c r="E4" s="6"/>
      <c r="F4" s="6"/>
    </row>
    <row r="5" customFormat="false" ht="15" hidden="false" customHeight="false" outlineLevel="0" collapsed="false">
      <c r="A5" s="7"/>
      <c r="B5" s="7" t="s">
        <v>25</v>
      </c>
      <c r="C5" s="7" t="s">
        <v>26</v>
      </c>
      <c r="D5" s="7" t="s">
        <v>27</v>
      </c>
      <c r="E5" s="7" t="s">
        <v>28</v>
      </c>
    </row>
    <row r="6" customFormat="false" ht="15" hidden="false" customHeight="false" outlineLevel="0" collapsed="false">
      <c r="A6" s="8" t="s">
        <v>29</v>
      </c>
      <c r="B6" s="9" t="n">
        <f aca="false">IFERROR(SUM(C6:E6),"")</f>
        <v>0</v>
      </c>
      <c r="C6" s="10"/>
      <c r="D6" s="10"/>
      <c r="E6" s="10"/>
      <c r="F6" s="4" t="s">
        <v>30</v>
      </c>
    </row>
    <row r="7" customFormat="false" ht="15" hidden="false" customHeight="false" outlineLevel="0" collapsed="false">
      <c r="A7" s="8" t="s">
        <v>31</v>
      </c>
      <c r="C7" s="11" t="str">
        <f aca="false">IFERROR(C6/$B$6,"")</f>
        <v/>
      </c>
      <c r="D7" s="11" t="str">
        <f aca="false">IFERROR(D6/$B$6,"")</f>
        <v/>
      </c>
      <c r="E7" s="11" t="str">
        <f aca="false">IFERROR(E6/$B$6,"")</f>
        <v/>
      </c>
    </row>
    <row r="8" customFormat="false" ht="15" hidden="false" customHeight="false" outlineLevel="0" collapsed="false">
      <c r="A8" s="8" t="s">
        <v>32</v>
      </c>
      <c r="D8" s="12"/>
      <c r="E8" s="12"/>
      <c r="F8" s="4" t="s">
        <v>33</v>
      </c>
    </row>
    <row r="9" customFormat="false" ht="15" hidden="false" customHeight="false" outlineLevel="0" collapsed="false">
      <c r="A9" s="8" t="s">
        <v>34</v>
      </c>
      <c r="B9" s="11" t="n">
        <f aca="false">IFERROR(SUMPRODUCT(C7:E7,C9:E9),"")</f>
        <v>0</v>
      </c>
      <c r="C9" s="12"/>
      <c r="D9" s="11" t="n">
        <f aca="false">IFERROR($C$9*D8,"")</f>
        <v>0</v>
      </c>
      <c r="E9" s="11" t="n">
        <f aca="false">IFERROR($C$9*E8,"")</f>
        <v>0</v>
      </c>
      <c r="F9" s="4" t="s">
        <v>35</v>
      </c>
    </row>
    <row r="10" customFormat="false" ht="15" hidden="false" customHeight="false" outlineLevel="0" collapsed="false">
      <c r="A10" s="8" t="s">
        <v>36</v>
      </c>
      <c r="B10" s="12" t="n">
        <v>0.1</v>
      </c>
      <c r="F10" s="4" t="s">
        <v>37</v>
      </c>
    </row>
    <row r="11" customFormat="false" ht="15" hidden="false" customHeight="false" outlineLevel="0" collapsed="false">
      <c r="A11" s="8" t="s">
        <v>38</v>
      </c>
      <c r="B11" s="11" t="n">
        <f aca="false">IFERROR(B9*(1-B10),"")</f>
        <v>0</v>
      </c>
    </row>
    <row r="12" customFormat="false" ht="15" hidden="false" customHeight="false" outlineLevel="0" collapsed="false">
      <c r="A12" s="8" t="s">
        <v>39</v>
      </c>
      <c r="B12" s="9" t="n">
        <f aca="false">IFERROR(B6*B11,"")</f>
        <v>0</v>
      </c>
    </row>
    <row r="13" customFormat="false" ht="15" hidden="false" customHeight="false" outlineLevel="0" collapsed="false">
      <c r="A13" s="8" t="s">
        <v>40</v>
      </c>
      <c r="B13" s="9" t="n">
        <f aca="false">IFERROR(ROUNDDOWN(B12/2,0)+1,"")</f>
        <v>1</v>
      </c>
    </row>
    <row r="14" customFormat="false" ht="15" hidden="false" customHeight="false" outlineLevel="0" collapsed="false">
      <c r="A14" s="8" t="s">
        <v>41</v>
      </c>
      <c r="B14" s="12" t="n">
        <v>0.52</v>
      </c>
      <c r="F14" s="4" t="s">
        <v>42</v>
      </c>
    </row>
    <row r="15" customFormat="false" ht="15" hidden="false" customHeight="false" outlineLevel="0" collapsed="false">
      <c r="A15" s="7" t="s">
        <v>43</v>
      </c>
      <c r="B15" s="13" t="n">
        <f aca="false">IFERROR(ROUND(B12*B14,0),"")</f>
        <v>0</v>
      </c>
    </row>
    <row r="17" customFormat="false" ht="15" hidden="false" customHeight="false" outlineLevel="0" collapsed="false">
      <c r="A17" s="5" t="s">
        <v>44</v>
      </c>
      <c r="B17" s="6"/>
      <c r="C17" s="6"/>
      <c r="D17" s="6"/>
      <c r="E17" s="6"/>
      <c r="F17" s="6"/>
    </row>
    <row r="18" customFormat="false" ht="15" hidden="false" customHeight="false" outlineLevel="0" collapsed="false">
      <c r="A18" s="7" t="s">
        <v>45</v>
      </c>
      <c r="B18" s="7" t="s">
        <v>46</v>
      </c>
      <c r="C18" s="7" t="s">
        <v>47</v>
      </c>
      <c r="D18" s="7" t="s">
        <v>48</v>
      </c>
      <c r="E18" s="7" t="s">
        <v>49</v>
      </c>
    </row>
    <row r="19" customFormat="false" ht="15" hidden="false" customHeight="false" outlineLevel="0" collapsed="false">
      <c r="A19" s="14"/>
      <c r="B19" s="10"/>
      <c r="C19" s="10"/>
      <c r="D19" s="9" t="str">
        <f aca="false">IF(B19+C19=0,"",B19+C19)</f>
        <v/>
      </c>
      <c r="E19" s="11" t="str">
        <f aca="false">IFERROR(C19/D19,"")</f>
        <v/>
      </c>
      <c r="F19" s="4" t="s">
        <v>50</v>
      </c>
    </row>
    <row r="20" customFormat="false" ht="15" hidden="false" customHeight="false" outlineLevel="0" collapsed="false">
      <c r="A20" s="14"/>
      <c r="B20" s="10"/>
      <c r="C20" s="10"/>
      <c r="D20" s="9" t="str">
        <f aca="false">IF(B20+C20=0,"",B20+C20)</f>
        <v/>
      </c>
      <c r="E20" s="11" t="str">
        <f aca="false">IFERROR(C20/D20,"")</f>
        <v/>
      </c>
    </row>
    <row r="21" customFormat="false" ht="15" hidden="false" customHeight="false" outlineLevel="0" collapsed="false">
      <c r="A21" s="14"/>
      <c r="B21" s="10"/>
      <c r="C21" s="10"/>
      <c r="D21" s="9" t="str">
        <f aca="false">IF(B21+C21=0,"",B21+C21)</f>
        <v/>
      </c>
      <c r="E21" s="11" t="str">
        <f aca="false">IFERROR(C21/D21,"")</f>
        <v/>
      </c>
    </row>
    <row r="22" customFormat="false" ht="15" hidden="false" customHeight="false" outlineLevel="0" collapsed="false">
      <c r="A22" s="14"/>
      <c r="B22" s="10"/>
      <c r="C22" s="10"/>
      <c r="D22" s="9" t="str">
        <f aca="false">IF(B22+C22=0,"",B22+C22)</f>
        <v/>
      </c>
      <c r="E22" s="11" t="str">
        <f aca="false">IFERROR(C22/D22,"")</f>
        <v/>
      </c>
    </row>
    <row r="23" customFormat="false" ht="15" hidden="false" customHeight="false" outlineLevel="0" collapsed="false">
      <c r="A23" s="14"/>
      <c r="B23" s="10"/>
      <c r="C23" s="10"/>
      <c r="D23" s="9" t="str">
        <f aca="false">IF(B23+C23=0,"",B23+C23)</f>
        <v/>
      </c>
      <c r="E23" s="11" t="str">
        <f aca="false">IFERROR(C23/D23,"")</f>
        <v/>
      </c>
    </row>
    <row r="24" customFormat="false" ht="15" hidden="false" customHeight="false" outlineLevel="0" collapsed="false">
      <c r="A24" s="8" t="s">
        <v>51</v>
      </c>
      <c r="B24" s="15" t="str">
        <f aca="false">IFERROR(AVERAGE(E19:E23),"")</f>
        <v/>
      </c>
    </row>
    <row r="26" customFormat="false" ht="15" hidden="false" customHeight="false" outlineLevel="0" collapsed="false">
      <c r="A26" s="5" t="s">
        <v>52</v>
      </c>
      <c r="B26" s="6"/>
      <c r="C26" s="6"/>
      <c r="D26" s="6"/>
      <c r="E26" s="6"/>
      <c r="F26" s="6"/>
    </row>
    <row r="27" customFormat="false" ht="15" hidden="false" customHeight="false" outlineLevel="0" collapsed="false">
      <c r="A27" s="8" t="s">
        <v>53</v>
      </c>
      <c r="B27" s="12"/>
      <c r="F27" s="4" t="s">
        <v>54</v>
      </c>
    </row>
    <row r="28" customFormat="false" ht="15" hidden="false" customHeight="false" outlineLevel="0" collapsed="false">
      <c r="A28" s="8" t="s">
        <v>55</v>
      </c>
      <c r="B28" s="16" t="n">
        <f aca="false">IFERROR(B12*B27,"")</f>
        <v>0</v>
      </c>
    </row>
    <row r="30" customFormat="false" ht="15" hidden="false" customHeight="false" outlineLevel="0" collapsed="false">
      <c r="A30" s="5" t="s">
        <v>56</v>
      </c>
      <c r="B30" s="6"/>
      <c r="C30" s="6"/>
      <c r="D30" s="6"/>
      <c r="E30" s="6"/>
      <c r="F30" s="6"/>
    </row>
    <row r="31" customFormat="false" ht="15" hidden="false" customHeight="false" outlineLevel="0" collapsed="false">
      <c r="A31" s="8" t="s">
        <v>57</v>
      </c>
      <c r="B31" s="13" t="n">
        <f aca="false">IFERROR(B15-B28,"")</f>
        <v>0</v>
      </c>
      <c r="F31" s="4" t="s">
        <v>58</v>
      </c>
    </row>
    <row r="32" customFormat="false" ht="15" hidden="false" customHeight="false" outlineLevel="0" collapsed="false">
      <c r="A32" s="8" t="s">
        <v>59</v>
      </c>
      <c r="B32" s="11" t="str">
        <f aca="false">IFERROR(B31/B15,"")</f>
        <v/>
      </c>
    </row>
    <row r="34" customFormat="false" ht="15" hidden="false" customHeight="false" outlineLevel="0" collapsed="false">
      <c r="A34" s="5" t="s">
        <v>60</v>
      </c>
      <c r="B34" s="6"/>
      <c r="C34" s="6"/>
      <c r="D34" s="6"/>
      <c r="E34" s="6"/>
      <c r="F34" s="6"/>
    </row>
    <row r="35" customFormat="false" ht="15" hidden="false" customHeight="false" outlineLevel="0" collapsed="false">
      <c r="A35" s="8" t="s">
        <v>61</v>
      </c>
      <c r="B35" s="9" t="n">
        <f aca="false">IFERROR(E6,"")</f>
        <v>0</v>
      </c>
    </row>
    <row r="36" customFormat="false" ht="15" hidden="false" customHeight="false" outlineLevel="0" collapsed="false">
      <c r="A36" s="8" t="s">
        <v>62</v>
      </c>
      <c r="B36" s="9" t="n">
        <f aca="false">IFERROR(E6*E9,"")</f>
        <v>0</v>
      </c>
    </row>
    <row r="37" customFormat="false" ht="15" hidden="false" customHeight="false" outlineLevel="0" collapsed="false">
      <c r="A37" s="8" t="s">
        <v>63</v>
      </c>
      <c r="B37" s="12"/>
      <c r="F37" s="4" t="s">
        <v>64</v>
      </c>
    </row>
    <row r="38" customFormat="false" ht="15" hidden="false" customHeight="false" outlineLevel="0" collapsed="false">
      <c r="A38" s="8" t="s">
        <v>65</v>
      </c>
      <c r="B38" s="9" t="n">
        <f aca="false">IFERROR(B36*B37,"")</f>
        <v>0</v>
      </c>
    </row>
    <row r="39" customFormat="false" ht="15" hidden="false" customHeight="false" outlineLevel="0" collapsed="false">
      <c r="A39" s="8" t="s">
        <v>66</v>
      </c>
      <c r="B39" s="16" t="n">
        <f aca="false">IFERROR(B36-B38,"")</f>
        <v>0</v>
      </c>
    </row>
    <row r="40" customFormat="false" ht="15" hidden="false" customHeight="false" outlineLevel="0" collapsed="false">
      <c r="A40" s="8" t="s">
        <v>67</v>
      </c>
      <c r="B40" s="11" t="str">
        <f aca="false">IFERROR(B39/B6,"")</f>
        <v/>
      </c>
    </row>
    <row r="42" customFormat="false" ht="15" hidden="false" customHeight="false" outlineLevel="0" collapsed="false">
      <c r="A42" s="5" t="s">
        <v>68</v>
      </c>
      <c r="B42" s="6"/>
      <c r="C42" s="6"/>
      <c r="D42" s="6"/>
      <c r="E42" s="6"/>
      <c r="F42" s="6"/>
    </row>
    <row r="43" customFormat="false" ht="15" hidden="false" customHeight="false" outlineLevel="0" collapsed="false">
      <c r="A43" s="8" t="s">
        <v>69</v>
      </c>
      <c r="B43" s="9" t="n">
        <f aca="false">IFERROR(D6,"")</f>
        <v>0</v>
      </c>
    </row>
    <row r="44" customFormat="false" ht="15" hidden="false" customHeight="false" outlineLevel="0" collapsed="false">
      <c r="A44" s="8" t="s">
        <v>62</v>
      </c>
      <c r="B44" s="9" t="n">
        <f aca="false">IFERROR(D6*D9,"")</f>
        <v>0</v>
      </c>
    </row>
    <row r="45" customFormat="false" ht="15" hidden="false" customHeight="false" outlineLevel="0" collapsed="false">
      <c r="A45" s="8" t="s">
        <v>70</v>
      </c>
      <c r="B45" s="9" t="n">
        <f aca="false">IFERROR(B44*B10,"")</f>
        <v>0</v>
      </c>
    </row>
    <row r="46" customFormat="false" ht="15" hidden="false" customHeight="false" outlineLevel="0" collapsed="false">
      <c r="A46" s="8" t="s">
        <v>71</v>
      </c>
      <c r="B46" s="12" t="n">
        <v>0</v>
      </c>
      <c r="F46" s="4" t="s">
        <v>72</v>
      </c>
    </row>
    <row r="47" customFormat="false" ht="15" hidden="false" customHeight="false" outlineLevel="0" collapsed="false">
      <c r="A47" s="8" t="s">
        <v>73</v>
      </c>
      <c r="B47" s="9" t="n">
        <f aca="false">IFERROR(B44*B46,"")</f>
        <v>0</v>
      </c>
    </row>
    <row r="48" customFormat="false" ht="15" hidden="false" customHeight="false" outlineLevel="0" collapsed="false">
      <c r="A48" s="8" t="s">
        <v>74</v>
      </c>
      <c r="B48" s="16" t="n">
        <f aca="false">IFERROR(B45+B47,"")</f>
        <v>0</v>
      </c>
    </row>
    <row r="49" customFormat="false" ht="15" hidden="false" customHeight="false" outlineLevel="0" collapsed="false">
      <c r="A49" s="8" t="s">
        <v>75</v>
      </c>
      <c r="B49" s="11" t="str">
        <f aca="false">IFERROR(B48/D6,"")</f>
        <v/>
      </c>
    </row>
    <row r="51" customFormat="false" ht="15" hidden="false" customHeight="false" outlineLevel="0" collapsed="false">
      <c r="A51" s="5" t="s">
        <v>76</v>
      </c>
      <c r="B51" s="6"/>
      <c r="C51" s="6"/>
      <c r="D51" s="6"/>
      <c r="E51" s="6"/>
      <c r="F51" s="6"/>
    </row>
    <row r="52" customFormat="false" ht="15" hidden="false" customHeight="false" outlineLevel="0" collapsed="false">
      <c r="A52" s="7" t="s">
        <v>77</v>
      </c>
      <c r="B52" s="7" t="s">
        <v>78</v>
      </c>
      <c r="C52" s="7" t="s">
        <v>79</v>
      </c>
      <c r="D52" s="7" t="s">
        <v>80</v>
      </c>
    </row>
    <row r="53" customFormat="false" ht="15" hidden="false" customHeight="false" outlineLevel="0" collapsed="false">
      <c r="A53" s="8" t="s">
        <v>81</v>
      </c>
      <c r="B53" s="12" t="n">
        <v>0.15</v>
      </c>
      <c r="C53" s="9" t="n">
        <f aca="false">IFERROR(B39*B53,"")</f>
        <v>0</v>
      </c>
      <c r="D53" s="11" t="str">
        <f aca="false">IFERROR(C53/(C53+C54),"")</f>
        <v/>
      </c>
    </row>
    <row r="54" customFormat="false" ht="15" hidden="false" customHeight="false" outlineLevel="0" collapsed="false">
      <c r="A54" s="8" t="s">
        <v>82</v>
      </c>
      <c r="B54" s="12" t="n">
        <v>0.15</v>
      </c>
      <c r="C54" s="9" t="n">
        <f aca="false">IFERROR(B48*B54,"")</f>
        <v>0</v>
      </c>
      <c r="D54" s="11" t="str">
        <f aca="false">IFERROR(C54/(C53+C54),"")</f>
        <v/>
      </c>
    </row>
    <row r="55" customFormat="false" ht="15" hidden="false" customHeight="false" outlineLevel="0" collapsed="false">
      <c r="A55" s="8" t="s">
        <v>83</v>
      </c>
      <c r="B55" s="12" t="n">
        <v>0.025</v>
      </c>
      <c r="C55" s="9" t="n">
        <f aca="false">IFERROR(B15*B55,"")</f>
        <v>0</v>
      </c>
      <c r="F55" s="4" t="s">
        <v>84</v>
      </c>
    </row>
    <row r="56" customFormat="false" ht="15" hidden="false" customHeight="false" outlineLevel="0" collapsed="false">
      <c r="A56" s="7" t="s">
        <v>85</v>
      </c>
      <c r="C56" s="16" t="n">
        <f aca="false">IFERROR(SUM(C53:C55),"")</f>
        <v>0</v>
      </c>
    </row>
    <row r="57" customFormat="false" ht="15" hidden="false" customHeight="false" outlineLevel="0" collapsed="false">
      <c r="A57" s="7" t="s">
        <v>86</v>
      </c>
      <c r="C57" s="13" t="n">
        <f aca="false">IFERROR(C56-B31,"")</f>
        <v>0</v>
      </c>
      <c r="D57" s="7" t="str">
        <f aca="false">IF(N(B6)=0,"",IF(C56-B31&gt;=0,"YES — plan covers the gap","NO — short by "&amp;TEXT(B31-C56,"#,##0")))</f>
        <v/>
      </c>
    </row>
    <row r="59" customFormat="false" ht="15" hidden="false" customHeight="false" outlineLevel="0" collapsed="false">
      <c r="A59" s="5" t="s">
        <v>87</v>
      </c>
      <c r="B59" s="6"/>
      <c r="C59" s="6"/>
      <c r="D59" s="6"/>
      <c r="E59" s="6"/>
      <c r="F59" s="6"/>
    </row>
    <row r="60" customFormat="false" ht="15" hidden="false" customHeight="false" outlineLevel="0" collapsed="false">
      <c r="A60" s="8" t="s">
        <v>88</v>
      </c>
      <c r="B60" s="17" t="n">
        <v>3</v>
      </c>
      <c r="F60" s="4" t="s">
        <v>89</v>
      </c>
    </row>
    <row r="61" customFormat="false" ht="15" hidden="false" customHeight="false" outlineLevel="0" collapsed="false">
      <c r="A61" s="8" t="s">
        <v>90</v>
      </c>
      <c r="B61" s="16" t="n">
        <f aca="false">IFERROR(MAX(0,B31)*B60,"")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17"/>
    <col collapsed="false" customWidth="true" hidden="false" outlineLevel="0" max="6" min="6" style="0" width="60"/>
  </cols>
  <sheetData>
    <row r="1" customFormat="false" ht="17.35" hidden="false" customHeight="false" outlineLevel="0" collapsed="false">
      <c r="A1" s="3" t="s">
        <v>91</v>
      </c>
    </row>
    <row r="2" customFormat="false" ht="15" hidden="false" customHeight="false" outlineLevel="0" collapsed="false">
      <c r="A2" s="4" t="s">
        <v>23</v>
      </c>
    </row>
    <row r="4" customFormat="false" ht="15" hidden="false" customHeight="false" outlineLevel="0" collapsed="false">
      <c r="A4" s="5" t="s">
        <v>24</v>
      </c>
      <c r="B4" s="6"/>
      <c r="C4" s="6"/>
      <c r="D4" s="6"/>
      <c r="E4" s="6"/>
      <c r="F4" s="6"/>
    </row>
    <row r="5" customFormat="false" ht="15" hidden="false" customHeight="false" outlineLevel="0" collapsed="false">
      <c r="A5" s="7"/>
      <c r="B5" s="7" t="s">
        <v>25</v>
      </c>
      <c r="C5" s="7" t="s">
        <v>26</v>
      </c>
      <c r="D5" s="7" t="s">
        <v>27</v>
      </c>
      <c r="E5" s="7" t="s">
        <v>28</v>
      </c>
    </row>
    <row r="6" customFormat="false" ht="15" hidden="false" customHeight="false" outlineLevel="0" collapsed="false">
      <c r="A6" s="8" t="s">
        <v>29</v>
      </c>
      <c r="B6" s="9" t="n">
        <f aca="false">IFERROR(SUM(C6:E6),"")</f>
        <v>286097</v>
      </c>
      <c r="C6" s="10" t="n">
        <v>43473</v>
      </c>
      <c r="D6" s="10" t="n">
        <v>136191</v>
      </c>
      <c r="E6" s="10" t="n">
        <v>106433</v>
      </c>
      <c r="F6" s="4" t="s">
        <v>30</v>
      </c>
    </row>
    <row r="7" customFormat="false" ht="15" hidden="false" customHeight="false" outlineLevel="0" collapsed="false">
      <c r="A7" s="8" t="s">
        <v>31</v>
      </c>
      <c r="C7" s="11" t="n">
        <f aca="false">IFERROR(C6/$B$6,"")</f>
        <v>0.151951960349112</v>
      </c>
      <c r="D7" s="11" t="n">
        <f aca="false">IFERROR(D6/$B$6,"")</f>
        <v>0.476030856667494</v>
      </c>
      <c r="E7" s="11" t="n">
        <f aca="false">IFERROR(E6/$B$6,"")</f>
        <v>0.372017182983394</v>
      </c>
    </row>
    <row r="8" customFormat="false" ht="15" hidden="false" customHeight="false" outlineLevel="0" collapsed="false">
      <c r="A8" s="8" t="s">
        <v>32</v>
      </c>
      <c r="D8" s="12" t="n">
        <v>0.98</v>
      </c>
      <c r="E8" s="12" t="n">
        <v>0.78</v>
      </c>
      <c r="F8" s="4" t="s">
        <v>33</v>
      </c>
    </row>
    <row r="9" customFormat="false" ht="15" hidden="false" customHeight="false" outlineLevel="0" collapsed="false">
      <c r="A9" s="8" t="s">
        <v>34</v>
      </c>
      <c r="B9" s="11" t="n">
        <f aca="false">IFERROR(SUMPRODUCT(C7:E7,C9:E9),"")</f>
        <v>0.772340262218758</v>
      </c>
      <c r="C9" s="12" t="n">
        <v>0.85</v>
      </c>
      <c r="D9" s="11" t="n">
        <f aca="false">IFERROR($C$9*D8,"")</f>
        <v>0.833</v>
      </c>
      <c r="E9" s="11" t="n">
        <f aca="false">IFERROR($C$9*E8,"")</f>
        <v>0.663</v>
      </c>
      <c r="F9" s="4" t="s">
        <v>35</v>
      </c>
    </row>
    <row r="10" customFormat="false" ht="15" hidden="false" customHeight="false" outlineLevel="0" collapsed="false">
      <c r="A10" s="8" t="s">
        <v>36</v>
      </c>
      <c r="B10" s="12" t="n">
        <v>0.1</v>
      </c>
      <c r="F10" s="4" t="s">
        <v>37</v>
      </c>
    </row>
    <row r="11" customFormat="false" ht="15" hidden="false" customHeight="false" outlineLevel="0" collapsed="false">
      <c r="A11" s="8" t="s">
        <v>38</v>
      </c>
      <c r="B11" s="11" t="n">
        <f aca="false">IFERROR(B9*(1-B10),"")</f>
        <v>0.695106235996882</v>
      </c>
    </row>
    <row r="12" customFormat="false" ht="15" hidden="false" customHeight="false" outlineLevel="0" collapsed="false">
      <c r="A12" s="8" t="s">
        <v>39</v>
      </c>
      <c r="B12" s="9" t="n">
        <f aca="false">IFERROR(B6*B11,"")</f>
        <v>198867.8088</v>
      </c>
    </row>
    <row r="13" customFormat="false" ht="15" hidden="false" customHeight="false" outlineLevel="0" collapsed="false">
      <c r="A13" s="8" t="s">
        <v>40</v>
      </c>
      <c r="B13" s="9" t="n">
        <f aca="false">IFERROR(ROUNDDOWN(B12/2,0)+1,"")</f>
        <v>99434</v>
      </c>
    </row>
    <row r="14" customFormat="false" ht="15" hidden="false" customHeight="false" outlineLevel="0" collapsed="false">
      <c r="A14" s="8" t="s">
        <v>41</v>
      </c>
      <c r="B14" s="12" t="n">
        <v>0.52</v>
      </c>
      <c r="F14" s="4" t="s">
        <v>42</v>
      </c>
    </row>
    <row r="15" customFormat="false" ht="15" hidden="false" customHeight="false" outlineLevel="0" collapsed="false">
      <c r="A15" s="7" t="s">
        <v>43</v>
      </c>
      <c r="B15" s="13" t="n">
        <f aca="false">IFERROR(ROUND(B12*B14,0),"")</f>
        <v>103411</v>
      </c>
    </row>
    <row r="17" customFormat="false" ht="15" hidden="false" customHeight="false" outlineLevel="0" collapsed="false">
      <c r="A17" s="5" t="s">
        <v>44</v>
      </c>
      <c r="B17" s="6"/>
      <c r="C17" s="6"/>
      <c r="D17" s="6"/>
      <c r="E17" s="6"/>
      <c r="F17" s="6"/>
    </row>
    <row r="18" customFormat="false" ht="15" hidden="false" customHeight="false" outlineLevel="0" collapsed="false">
      <c r="A18" s="7" t="s">
        <v>45</v>
      </c>
      <c r="B18" s="7" t="s">
        <v>46</v>
      </c>
      <c r="C18" s="7" t="s">
        <v>47</v>
      </c>
      <c r="D18" s="7" t="s">
        <v>48</v>
      </c>
      <c r="E18" s="7" t="s">
        <v>49</v>
      </c>
    </row>
    <row r="19" customFormat="false" ht="15" hidden="false" customHeight="false" outlineLevel="0" collapsed="false">
      <c r="A19" s="14" t="s">
        <v>92</v>
      </c>
      <c r="B19" s="10" t="n">
        <v>44314</v>
      </c>
      <c r="C19" s="10" t="n">
        <v>43737</v>
      </c>
      <c r="D19" s="9" t="n">
        <f aca="false">IF(B19+C19=0,"",B19+C19)</f>
        <v>88051</v>
      </c>
      <c r="E19" s="11" t="n">
        <f aca="false">IFERROR(C19/D19,"")</f>
        <v>0.496723489795687</v>
      </c>
      <c r="F19" s="4" t="s">
        <v>50</v>
      </c>
    </row>
    <row r="20" customFormat="false" ht="15" hidden="false" customHeight="false" outlineLevel="0" collapsed="false">
      <c r="A20" s="14" t="s">
        <v>93</v>
      </c>
      <c r="B20" s="10" t="n">
        <v>44314</v>
      </c>
      <c r="C20" s="10" t="n">
        <v>37656</v>
      </c>
      <c r="D20" s="9" t="n">
        <f aca="false">IF(B20+C20=0,"",B20+C20)</f>
        <v>81970</v>
      </c>
      <c r="E20" s="11" t="n">
        <f aca="false">IFERROR(C20/D20,"")</f>
        <v>0.459387580822252</v>
      </c>
    </row>
    <row r="21" customFormat="false" ht="15" hidden="false" customHeight="false" outlineLevel="0" collapsed="false">
      <c r="A21" s="14" t="s">
        <v>94</v>
      </c>
      <c r="B21" s="10" t="n">
        <v>47631</v>
      </c>
      <c r="C21" s="10" t="n">
        <v>44229</v>
      </c>
      <c r="D21" s="9" t="n">
        <f aca="false">IF(B21+C21=0,"",B21+C21)</f>
        <v>91860</v>
      </c>
      <c r="E21" s="11" t="n">
        <f aca="false">IFERROR(C21/D21,"")</f>
        <v>0.4814826910516</v>
      </c>
    </row>
    <row r="22" customFormat="false" ht="15" hidden="false" customHeight="false" outlineLevel="0" collapsed="false">
      <c r="A22" s="14" t="s">
        <v>95</v>
      </c>
      <c r="B22" s="10" t="n">
        <v>32886</v>
      </c>
      <c r="C22" s="10" t="n">
        <v>27520</v>
      </c>
      <c r="D22" s="9" t="n">
        <f aca="false">IF(B22+C22=0,"",B22+C22)</f>
        <v>60406</v>
      </c>
      <c r="E22" s="11" t="n">
        <f aca="false">IFERROR(C22/D22,"")</f>
        <v>0.455583882395789</v>
      </c>
    </row>
    <row r="23" customFormat="false" ht="15" hidden="false" customHeight="false" outlineLevel="0" collapsed="false">
      <c r="A23" s="14"/>
      <c r="B23" s="10"/>
      <c r="C23" s="10"/>
      <c r="D23" s="9" t="str">
        <f aca="false">IF(B23+C23=0,"",B23+C23)</f>
        <v/>
      </c>
      <c r="E23" s="11" t="str">
        <f aca="false">IFERROR(C23/D23,"")</f>
        <v/>
      </c>
    </row>
    <row r="24" customFormat="false" ht="15" hidden="false" customHeight="false" outlineLevel="0" collapsed="false">
      <c r="A24" s="8" t="s">
        <v>51</v>
      </c>
      <c r="B24" s="15" t="n">
        <f aca="false">IFERROR(AVERAGE(E19:E23),"")</f>
        <v>0.473294411016332</v>
      </c>
    </row>
    <row r="26" customFormat="false" ht="15" hidden="false" customHeight="false" outlineLevel="0" collapsed="false">
      <c r="A26" s="5" t="s">
        <v>52</v>
      </c>
      <c r="B26" s="6"/>
      <c r="C26" s="6"/>
      <c r="D26" s="6"/>
      <c r="E26" s="6"/>
      <c r="F26" s="6"/>
    </row>
    <row r="27" customFormat="false" ht="15" hidden="false" customHeight="false" outlineLevel="0" collapsed="false">
      <c r="A27" s="8" t="s">
        <v>53</v>
      </c>
      <c r="B27" s="12" t="n">
        <v>0.475</v>
      </c>
      <c r="F27" s="4" t="s">
        <v>54</v>
      </c>
    </row>
    <row r="28" customFormat="false" ht="15" hidden="false" customHeight="false" outlineLevel="0" collapsed="false">
      <c r="A28" s="8" t="s">
        <v>55</v>
      </c>
      <c r="B28" s="16" t="n">
        <f aca="false">IFERROR(B12*B27,"")</f>
        <v>94462.20918</v>
      </c>
    </row>
    <row r="30" customFormat="false" ht="15" hidden="false" customHeight="false" outlineLevel="0" collapsed="false">
      <c r="A30" s="5" t="s">
        <v>56</v>
      </c>
      <c r="B30" s="6"/>
      <c r="C30" s="6"/>
      <c r="D30" s="6"/>
      <c r="E30" s="6"/>
      <c r="F30" s="6"/>
    </row>
    <row r="31" customFormat="false" ht="15" hidden="false" customHeight="false" outlineLevel="0" collapsed="false">
      <c r="A31" s="8" t="s">
        <v>57</v>
      </c>
      <c r="B31" s="13" t="n">
        <f aca="false">IFERROR(B15-B28,"")</f>
        <v>8948.79082000001</v>
      </c>
      <c r="F31" s="4" t="s">
        <v>58</v>
      </c>
    </row>
    <row r="32" customFormat="false" ht="15" hidden="false" customHeight="false" outlineLevel="0" collapsed="false">
      <c r="A32" s="8" t="s">
        <v>59</v>
      </c>
      <c r="B32" s="11" t="n">
        <f aca="false">IFERROR(B31/B15,"")</f>
        <v>0.0865361597895776</v>
      </c>
    </row>
    <row r="34" customFormat="false" ht="15" hidden="false" customHeight="false" outlineLevel="0" collapsed="false">
      <c r="A34" s="5" t="s">
        <v>60</v>
      </c>
      <c r="B34" s="6"/>
      <c r="C34" s="6"/>
      <c r="D34" s="6"/>
      <c r="E34" s="6"/>
      <c r="F34" s="6"/>
    </row>
    <row r="35" customFormat="false" ht="15" hidden="false" customHeight="false" outlineLevel="0" collapsed="false">
      <c r="A35" s="8" t="s">
        <v>61</v>
      </c>
      <c r="B35" s="9" t="n">
        <f aca="false">IFERROR(E6,"")</f>
        <v>106433</v>
      </c>
    </row>
    <row r="36" customFormat="false" ht="15" hidden="false" customHeight="false" outlineLevel="0" collapsed="false">
      <c r="A36" s="8" t="s">
        <v>62</v>
      </c>
      <c r="B36" s="9" t="n">
        <f aca="false">IFERROR(E6*E9,"")</f>
        <v>70565.079</v>
      </c>
    </row>
    <row r="37" customFormat="false" ht="15" hidden="false" customHeight="false" outlineLevel="0" collapsed="false">
      <c r="A37" s="8" t="s">
        <v>63</v>
      </c>
      <c r="B37" s="12" t="n">
        <v>0.229</v>
      </c>
      <c r="F37" s="4" t="s">
        <v>64</v>
      </c>
    </row>
    <row r="38" customFormat="false" ht="15" hidden="false" customHeight="false" outlineLevel="0" collapsed="false">
      <c r="A38" s="8" t="s">
        <v>65</v>
      </c>
      <c r="B38" s="9" t="n">
        <f aca="false">IFERROR(B36*B37,"")</f>
        <v>16159.403091</v>
      </c>
    </row>
    <row r="39" customFormat="false" ht="15" hidden="false" customHeight="false" outlineLevel="0" collapsed="false">
      <c r="A39" s="8" t="s">
        <v>66</v>
      </c>
      <c r="B39" s="16" t="n">
        <f aca="false">IFERROR(B36-B38,"")</f>
        <v>54405.675909</v>
      </c>
    </row>
    <row r="40" customFormat="false" ht="15" hidden="false" customHeight="false" outlineLevel="0" collapsed="false">
      <c r="A40" s="8" t="s">
        <v>67</v>
      </c>
      <c r="B40" s="11" t="n">
        <f aca="false">IFERROR(B39/B6,"")</f>
        <v>0.19016513947717</v>
      </c>
    </row>
    <row r="42" customFormat="false" ht="15" hidden="false" customHeight="false" outlineLevel="0" collapsed="false">
      <c r="A42" s="5" t="s">
        <v>68</v>
      </c>
      <c r="B42" s="6"/>
      <c r="C42" s="6"/>
      <c r="D42" s="6"/>
      <c r="E42" s="6"/>
      <c r="F42" s="6"/>
    </row>
    <row r="43" customFormat="false" ht="15" hidden="false" customHeight="false" outlineLevel="0" collapsed="false">
      <c r="A43" s="8" t="s">
        <v>69</v>
      </c>
      <c r="B43" s="9" t="n">
        <f aca="false">IFERROR(D6,"")</f>
        <v>136191</v>
      </c>
    </row>
    <row r="44" customFormat="false" ht="15" hidden="false" customHeight="false" outlineLevel="0" collapsed="false">
      <c r="A44" s="8" t="s">
        <v>62</v>
      </c>
      <c r="B44" s="9" t="n">
        <f aca="false">IFERROR(D6*D9,"")</f>
        <v>113447.103</v>
      </c>
    </row>
    <row r="45" customFormat="false" ht="15" hidden="false" customHeight="false" outlineLevel="0" collapsed="false">
      <c r="A45" s="8" t="s">
        <v>70</v>
      </c>
      <c r="B45" s="9" t="n">
        <f aca="false">IFERROR(B44*B10,"")</f>
        <v>11344.7103</v>
      </c>
    </row>
    <row r="46" customFormat="false" ht="15" hidden="false" customHeight="false" outlineLevel="0" collapsed="false">
      <c r="A46" s="8" t="s">
        <v>71</v>
      </c>
      <c r="B46" s="12" t="n">
        <v>0</v>
      </c>
      <c r="F46" s="4" t="s">
        <v>72</v>
      </c>
    </row>
    <row r="47" customFormat="false" ht="15" hidden="false" customHeight="false" outlineLevel="0" collapsed="false">
      <c r="A47" s="8" t="s">
        <v>73</v>
      </c>
      <c r="B47" s="9" t="n">
        <f aca="false">IFERROR(B44*B46,"")</f>
        <v>0</v>
      </c>
    </row>
    <row r="48" customFormat="false" ht="15" hidden="false" customHeight="false" outlineLevel="0" collapsed="false">
      <c r="A48" s="8" t="s">
        <v>74</v>
      </c>
      <c r="B48" s="16" t="n">
        <f aca="false">IFERROR(B45+B47,"")</f>
        <v>11344.7103</v>
      </c>
    </row>
    <row r="49" customFormat="false" ht="15" hidden="false" customHeight="false" outlineLevel="0" collapsed="false">
      <c r="A49" s="8" t="s">
        <v>75</v>
      </c>
      <c r="B49" s="11" t="n">
        <f aca="false">IFERROR(B48/D6,"")</f>
        <v>0.0833</v>
      </c>
    </row>
    <row r="51" customFormat="false" ht="15" hidden="false" customHeight="false" outlineLevel="0" collapsed="false">
      <c r="A51" s="5" t="s">
        <v>76</v>
      </c>
      <c r="B51" s="6"/>
      <c r="C51" s="6"/>
      <c r="D51" s="6"/>
      <c r="E51" s="6"/>
      <c r="F51" s="6"/>
    </row>
    <row r="52" customFormat="false" ht="15" hidden="false" customHeight="false" outlineLevel="0" collapsed="false">
      <c r="A52" s="7" t="s">
        <v>77</v>
      </c>
      <c r="B52" s="7" t="s">
        <v>78</v>
      </c>
      <c r="C52" s="7" t="s">
        <v>79</v>
      </c>
      <c r="D52" s="7" t="s">
        <v>80</v>
      </c>
    </row>
    <row r="53" customFormat="false" ht="15" hidden="false" customHeight="false" outlineLevel="0" collapsed="false">
      <c r="A53" s="8" t="s">
        <v>81</v>
      </c>
      <c r="B53" s="12" t="n">
        <v>0.15</v>
      </c>
      <c r="C53" s="9" t="n">
        <f aca="false">IFERROR(B39*B53,"")</f>
        <v>8160.85138635</v>
      </c>
      <c r="D53" s="11" t="n">
        <f aca="false">IFERROR(C53/(C53+C54),"")</f>
        <v>0.827457891061831</v>
      </c>
    </row>
    <row r="54" customFormat="false" ht="15" hidden="false" customHeight="false" outlineLevel="0" collapsed="false">
      <c r="A54" s="8" t="s">
        <v>82</v>
      </c>
      <c r="B54" s="12" t="n">
        <v>0.15</v>
      </c>
      <c r="C54" s="9" t="n">
        <f aca="false">IFERROR(B48*B54,"")</f>
        <v>1701.706545</v>
      </c>
      <c r="D54" s="11" t="n">
        <f aca="false">IFERROR(C54/(C53+C54),"")</f>
        <v>0.17254210893817</v>
      </c>
    </row>
    <row r="55" customFormat="false" ht="15" hidden="false" customHeight="false" outlineLevel="0" collapsed="false">
      <c r="A55" s="8" t="s">
        <v>83</v>
      </c>
      <c r="B55" s="12" t="n">
        <v>0.025</v>
      </c>
      <c r="C55" s="9" t="n">
        <f aca="false">IFERROR(B15*B55,"")</f>
        <v>2585.275</v>
      </c>
      <c r="F55" s="4" t="s">
        <v>84</v>
      </c>
    </row>
    <row r="56" customFormat="false" ht="15" hidden="false" customHeight="false" outlineLevel="0" collapsed="false">
      <c r="A56" s="7" t="s">
        <v>85</v>
      </c>
      <c r="C56" s="16" t="n">
        <f aca="false">IFERROR(SUM(C53:C55),"")</f>
        <v>12447.83293135</v>
      </c>
    </row>
    <row r="57" customFormat="false" ht="15" hidden="false" customHeight="false" outlineLevel="0" collapsed="false">
      <c r="A57" s="7" t="s">
        <v>86</v>
      </c>
      <c r="C57" s="13" t="n">
        <f aca="false">IFERROR(C56-B31,"")</f>
        <v>3499.04211134999</v>
      </c>
      <c r="D57" s="7" t="str">
        <f aca="false">IF(N(B6)=0,"",IF(C56-B31&gt;=0,"YES — plan covers the gap","NO — short by "&amp;TEXT(B31-C56,"#,##0")))</f>
        <v>YES — plan covers the gap</v>
      </c>
    </row>
    <row r="59" customFormat="false" ht="15" hidden="false" customHeight="false" outlineLevel="0" collapsed="false">
      <c r="A59" s="5" t="s">
        <v>87</v>
      </c>
      <c r="B59" s="6"/>
      <c r="C59" s="6"/>
      <c r="D59" s="6"/>
      <c r="E59" s="6"/>
      <c r="F59" s="6"/>
    </row>
    <row r="60" customFormat="false" ht="15" hidden="false" customHeight="false" outlineLevel="0" collapsed="false">
      <c r="A60" s="8" t="s">
        <v>88</v>
      </c>
      <c r="B60" s="17" t="n">
        <v>3</v>
      </c>
      <c r="F60" s="4" t="s">
        <v>89</v>
      </c>
    </row>
    <row r="61" customFormat="false" ht="15" hidden="false" customHeight="false" outlineLevel="0" collapsed="false">
      <c r="A61" s="8" t="s">
        <v>90</v>
      </c>
      <c r="B61" s="16" t="n">
        <f aca="false">IFERROR(MAX(0,B31)*B60,"")</f>
        <v>26846.37246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2026-10-12T02:25:40Z</dcterms:created>
  <dc:creator>openpyxl</dc:creator>
  <dc:description/>
  <dc:language>en-US</dc:language>
  <cp:lastModifiedBy/>
  <dcterms:modified xsi:type="dcterms:W3CDTF">2026-10-12T02:25:40Z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